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65491" windowWidth="9780" windowHeight="9840" activeTab="4"/>
  </bookViews>
  <sheets>
    <sheet name="plan de financement" sheetId="1" r:id="rId1"/>
    <sheet name="compte de résultat prévisionnel" sheetId="2" r:id="rId2"/>
    <sheet name="SIG" sheetId="3" r:id="rId3"/>
    <sheet name="ratios" sheetId="4" r:id="rId4"/>
    <sheet name="CA recherché" sheetId="5" r:id="rId5"/>
    <sheet name="Feuil1" sheetId="6" r:id="rId6"/>
  </sheets>
  <definedNames/>
  <calcPr fullCalcOnLoad="1"/>
</workbook>
</file>

<file path=xl/sharedStrings.xml><?xml version="1.0" encoding="utf-8"?>
<sst xmlns="http://schemas.openxmlformats.org/spreadsheetml/2006/main" count="110" uniqueCount="88">
  <si>
    <t>PLAN DE FINANCEMENT</t>
  </si>
  <si>
    <t>BESOINS</t>
  </si>
  <si>
    <t>RESSOURCES</t>
  </si>
  <si>
    <t>Apport</t>
  </si>
  <si>
    <t>TVA</t>
  </si>
  <si>
    <t>Emprunt</t>
  </si>
  <si>
    <t>TOTAL</t>
  </si>
  <si>
    <t>Matériel</t>
  </si>
  <si>
    <t>véhicule</t>
  </si>
  <si>
    <t>stocks</t>
  </si>
  <si>
    <t>trésorerie</t>
  </si>
  <si>
    <t>crédit fournisseurs</t>
  </si>
  <si>
    <t>crédit clients</t>
  </si>
  <si>
    <t>% de l'apport</t>
  </si>
  <si>
    <t>% de la banque</t>
  </si>
  <si>
    <t>CHARGES</t>
  </si>
  <si>
    <t>%</t>
  </si>
  <si>
    <t>PRODUITS</t>
  </si>
  <si>
    <t>Chiffre d'affaires</t>
  </si>
  <si>
    <t>Charges externes</t>
  </si>
  <si>
    <t>Impôts et taxes</t>
  </si>
  <si>
    <t>Charges du personnel</t>
  </si>
  <si>
    <t>DAP</t>
  </si>
  <si>
    <t>Charges financiéres</t>
  </si>
  <si>
    <t>S/T</t>
  </si>
  <si>
    <t>Bénéfice</t>
  </si>
  <si>
    <t>Perte</t>
  </si>
  <si>
    <t>RESULTAT</t>
  </si>
  <si>
    <t>PRODUCTION</t>
  </si>
  <si>
    <t>achats consommés</t>
  </si>
  <si>
    <t>MARGE BRUTE</t>
  </si>
  <si>
    <t>charges externes</t>
  </si>
  <si>
    <t>VALEUR AJOUTEE</t>
  </si>
  <si>
    <t>impôts et taxes</t>
  </si>
  <si>
    <t>charges du personnel</t>
  </si>
  <si>
    <t>EBE</t>
  </si>
  <si>
    <t>dotations aux amortissements</t>
  </si>
  <si>
    <t>RESULTAT D'EXPLOITATION</t>
  </si>
  <si>
    <t>charges financiéres</t>
  </si>
  <si>
    <t>produits financiers</t>
  </si>
  <si>
    <t>RESULTAT COUANT</t>
  </si>
  <si>
    <t>charges exceptionnelles</t>
  </si>
  <si>
    <t>produits exceptionnels</t>
  </si>
  <si>
    <t>variations</t>
  </si>
  <si>
    <t>ANALYSE DU COMPTE DE RESULTAT 2009 &amp; 2008</t>
  </si>
  <si>
    <t>COMPTE DE RESULTAT previsionnel</t>
  </si>
  <si>
    <t>année prévisionnel</t>
  </si>
  <si>
    <t>année 2006</t>
  </si>
  <si>
    <t>subventions</t>
  </si>
  <si>
    <r>
      <t>Achats</t>
    </r>
    <r>
      <rPr>
        <b/>
        <sz val="10"/>
        <color indexed="10"/>
        <rFont val="Arial"/>
        <family val="2"/>
      </rPr>
      <t xml:space="preserve"> 32%</t>
    </r>
  </si>
  <si>
    <t>prélévement  =</t>
  </si>
  <si>
    <t>1 250 X 12 =</t>
  </si>
  <si>
    <t>bénéfice = prélévements + remboursement du capital</t>
  </si>
  <si>
    <t>29 193 - 18 638 = 10 555 en supplément</t>
  </si>
  <si>
    <t>autonomie financière</t>
  </si>
  <si>
    <t>BFR</t>
  </si>
  <si>
    <t>FR</t>
  </si>
  <si>
    <t>57,45% d'endettement</t>
  </si>
  <si>
    <t>TMCV</t>
  </si>
  <si>
    <t>CA</t>
  </si>
  <si>
    <t>=</t>
  </si>
  <si>
    <t xml:space="preserve"> </t>
  </si>
  <si>
    <t>TOTAL HT</t>
  </si>
  <si>
    <t>electricité</t>
  </si>
  <si>
    <t>entretien</t>
  </si>
  <si>
    <t>assurances</t>
  </si>
  <si>
    <t>honoraires</t>
  </si>
  <si>
    <t>tel</t>
  </si>
  <si>
    <t>pub</t>
  </si>
  <si>
    <t>affranchissements</t>
  </si>
  <si>
    <t>services bancaires</t>
  </si>
  <si>
    <t>frais de carburant</t>
  </si>
  <si>
    <t>TOTAL CH EXTERNES</t>
  </si>
  <si>
    <t>assurances décès</t>
  </si>
  <si>
    <t>tel &amp; PTT</t>
  </si>
  <si>
    <t>charges fixes</t>
  </si>
  <si>
    <t>bénéfice</t>
  </si>
  <si>
    <t>remboursement K</t>
  </si>
  <si>
    <t xml:space="preserve">total benefice </t>
  </si>
  <si>
    <t>CF + BENEFICE</t>
  </si>
  <si>
    <t xml:space="preserve">CA  = </t>
  </si>
  <si>
    <t xml:space="preserve">si obtention d'un crèdit de TVA, alors le taux de risque est de : </t>
  </si>
  <si>
    <t>13414 + 18638</t>
  </si>
  <si>
    <t>ca de 2006</t>
  </si>
  <si>
    <t>nouveau ca</t>
  </si>
  <si>
    <t>variation</t>
  </si>
  <si>
    <t>29 193 = 15 000 + 3638 + X</t>
  </si>
  <si>
    <t>15622 + 18638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</si>
</sst>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.0"/>
  </numFmts>
  <fonts count="50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sz val="20"/>
      <name val="Andalus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2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Arial"/>
      <family val="2"/>
    </font>
    <font>
      <u val="single"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3" fontId="2" fillId="0" borderId="0" xfId="0" applyNumberFormat="1" applyFont="1" applyBorder="1" applyAlignment="1">
      <alignment/>
    </xf>
    <xf numFmtId="10" fontId="0" fillId="0" borderId="0" xfId="5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49" fontId="5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2" fillId="0" borderId="0" xfId="0" applyFont="1" applyAlignment="1">
      <alignment horizontal="center"/>
    </xf>
    <xf numFmtId="10" fontId="0" fillId="0" borderId="13" xfId="50" applyNumberFormat="1" applyFont="1" applyBorder="1" applyAlignment="1">
      <alignment/>
    </xf>
    <xf numFmtId="10" fontId="0" fillId="0" borderId="10" xfId="50" applyNumberFormat="1" applyFont="1" applyBorder="1" applyAlignment="1">
      <alignment/>
    </xf>
    <xf numFmtId="10" fontId="0" fillId="0" borderId="12" xfId="50" applyNumberFormat="1" applyFont="1" applyBorder="1" applyAlignment="1">
      <alignment/>
    </xf>
    <xf numFmtId="10" fontId="10" fillId="33" borderId="17" xfId="50" applyNumberFormat="1" applyFont="1" applyFill="1" applyBorder="1" applyAlignment="1">
      <alignment/>
    </xf>
    <xf numFmtId="10" fontId="10" fillId="33" borderId="18" xfId="50" applyNumberFormat="1" applyFont="1" applyFill="1" applyBorder="1" applyAlignment="1">
      <alignment/>
    </xf>
    <xf numFmtId="10" fontId="10" fillId="33" borderId="19" xfId="5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0" fontId="2" fillId="0" borderId="20" xfId="5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9" xfId="0" applyFont="1" applyBorder="1" applyAlignment="1">
      <alignment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3" fontId="0" fillId="14" borderId="0" xfId="0" applyNumberFormat="1" applyFill="1" applyAlignment="1">
      <alignment/>
    </xf>
    <xf numFmtId="0" fontId="2" fillId="14" borderId="19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10" fontId="2" fillId="36" borderId="0" xfId="50" applyNumberFormat="1" applyFont="1" applyFill="1" applyAlignment="1">
      <alignment horizontal="center"/>
    </xf>
    <xf numFmtId="3" fontId="10" fillId="33" borderId="22" xfId="0" applyNumberFormat="1" applyFont="1" applyFill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33" borderId="0" xfId="0" applyFont="1" applyFill="1" applyAlignment="1">
      <alignment horizontal="left"/>
    </xf>
    <xf numFmtId="0" fontId="10" fillId="33" borderId="28" xfId="0" applyFont="1" applyFill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1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10</xdr:row>
      <xdr:rowOff>28575</xdr:rowOff>
    </xdr:from>
    <xdr:to>
      <xdr:col>9</xdr:col>
      <xdr:colOff>95250</xdr:colOff>
      <xdr:row>11</xdr:row>
      <xdr:rowOff>19050</xdr:rowOff>
    </xdr:to>
    <xdr:sp>
      <xdr:nvSpPr>
        <xdr:cNvPr id="1" name="AutoShape 3"/>
        <xdr:cNvSpPr>
          <a:spLocks/>
        </xdr:cNvSpPr>
      </xdr:nvSpPr>
      <xdr:spPr>
        <a:xfrm>
          <a:off x="8239125" y="1790700"/>
          <a:ext cx="1352550" cy="152400"/>
        </a:xfrm>
        <a:prstGeom prst="rightArrow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25</xdr:row>
      <xdr:rowOff>104775</xdr:rowOff>
    </xdr:from>
    <xdr:to>
      <xdr:col>8</xdr:col>
      <xdr:colOff>847725</xdr:colOff>
      <xdr:row>33</xdr:row>
      <xdr:rowOff>9525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2657475" y="6296025"/>
          <a:ext cx="8305800" cy="12001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 CA en baisse de - 60% et un résultat en baisse aussi de - 74,57%,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montant des achats est </a:t>
          </a:r>
          <a:r>
            <a:rPr lang="en-US" cap="none" sz="14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très largement supérieur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 prévisionnel (32% à 46,28%),les charges externes (si elle sont considérées comme charges fixes) ont augmentées de + 17.95 points . le résultat comptable est augmenté artificiellement par les produits exceptionnels + 3 713 €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&amp; par la subvention de 3 000 € 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6:N25"/>
  <sheetViews>
    <sheetView showGridLines="0" zoomScale="90" zoomScaleNormal="90" zoomScalePageLayoutView="0" workbookViewId="0" topLeftCell="C4">
      <selection activeCell="M29" sqref="M28:M29"/>
    </sheetView>
  </sheetViews>
  <sheetFormatPr defaultColWidth="11.421875" defaultRowHeight="12.75"/>
  <cols>
    <col min="4" max="4" width="32.00390625" style="0" customWidth="1"/>
    <col min="5" max="5" width="9.421875" style="0" bestFit="1" customWidth="1"/>
    <col min="6" max="6" width="21.00390625" style="0" customWidth="1"/>
    <col min="7" max="7" width="22.8515625" style="0" customWidth="1"/>
    <col min="10" max="10" width="11.57421875" style="0" bestFit="1" customWidth="1"/>
  </cols>
  <sheetData>
    <row r="6" spans="4:7" ht="23.25">
      <c r="D6" s="61" t="s">
        <v>0</v>
      </c>
      <c r="E6" s="61"/>
      <c r="F6" s="61"/>
      <c r="G6" s="61"/>
    </row>
    <row r="9" spans="4:7" ht="13.5" thickBot="1">
      <c r="D9" s="62" t="s">
        <v>1</v>
      </c>
      <c r="E9" s="62"/>
      <c r="F9" s="63" t="s">
        <v>2</v>
      </c>
      <c r="G9" s="62"/>
    </row>
    <row r="10" spans="6:7" ht="12.75">
      <c r="F10" s="1"/>
      <c r="G10" s="2"/>
    </row>
    <row r="11" spans="4:11" ht="12.75">
      <c r="D11" t="s">
        <v>7</v>
      </c>
      <c r="E11" s="3"/>
      <c r="F11" s="33" t="s">
        <v>3</v>
      </c>
      <c r="G11" s="34">
        <v>7500</v>
      </c>
      <c r="J11" s="10">
        <f>G11/G20</f>
        <v>0.24916943521594684</v>
      </c>
      <c r="K11" t="s">
        <v>13</v>
      </c>
    </row>
    <row r="12" spans="4:7" ht="12.75">
      <c r="D12" t="s">
        <v>8</v>
      </c>
      <c r="E12" s="3">
        <v>17500</v>
      </c>
      <c r="F12" s="1" t="s">
        <v>11</v>
      </c>
      <c r="G12" s="4">
        <v>2600</v>
      </c>
    </row>
    <row r="13" spans="4:7" ht="12.75">
      <c r="D13" t="s">
        <v>9</v>
      </c>
      <c r="E13" s="3">
        <v>1250</v>
      </c>
      <c r="F13" s="1"/>
      <c r="G13" s="4"/>
    </row>
    <row r="14" spans="5:11" ht="12.75">
      <c r="E14" s="3"/>
      <c r="F14" s="1" t="s">
        <v>5</v>
      </c>
      <c r="G14" s="4">
        <v>20000</v>
      </c>
      <c r="J14" s="10">
        <f>G14/G20</f>
        <v>0.6644518272425249</v>
      </c>
      <c r="K14" t="s">
        <v>14</v>
      </c>
    </row>
    <row r="15" spans="4:7" ht="12.75">
      <c r="D15" s="31" t="s">
        <v>10</v>
      </c>
      <c r="E15" s="32">
        <f>(G11+G12+G14)-(E12+E13+E16+E17)</f>
        <v>5175</v>
      </c>
      <c r="F15" s="1"/>
      <c r="G15" s="4"/>
    </row>
    <row r="16" spans="4:7" ht="12.75">
      <c r="D16" t="s">
        <v>12</v>
      </c>
      <c r="E16" s="3">
        <v>2500</v>
      </c>
      <c r="F16" s="1"/>
      <c r="G16" s="4"/>
    </row>
    <row r="17" spans="4:14" ht="12.75">
      <c r="D17" t="s">
        <v>4</v>
      </c>
      <c r="E17" s="59">
        <f>(E12+E13)*0.196</f>
        <v>3675</v>
      </c>
      <c r="F17" s="1"/>
      <c r="G17" s="5"/>
      <c r="I17" t="s">
        <v>81</v>
      </c>
      <c r="N17" s="54">
        <f>(G14-E17)/G20</f>
        <v>0.542358803986711</v>
      </c>
    </row>
    <row r="18" spans="5:7" ht="12.75">
      <c r="E18" s="4"/>
      <c r="F18" s="1"/>
      <c r="G18" s="4"/>
    </row>
    <row r="19" spans="5:7" ht="12.75">
      <c r="E19" s="4"/>
      <c r="F19" s="1"/>
      <c r="G19" s="4"/>
    </row>
    <row r="20" spans="4:7" ht="12.75">
      <c r="D20" s="6" t="s">
        <v>6</v>
      </c>
      <c r="E20" s="7">
        <f>SUM(E12:E19)</f>
        <v>30100</v>
      </c>
      <c r="F20" s="8" t="s">
        <v>6</v>
      </c>
      <c r="G20" s="9">
        <f>SUM(G11:G19)</f>
        <v>30100</v>
      </c>
    </row>
    <row r="21" spans="6:7" ht="12.75">
      <c r="F21" s="1"/>
      <c r="G21" s="2"/>
    </row>
    <row r="25" ht="12.75">
      <c r="K25" s="3"/>
    </row>
  </sheetData>
  <sheetProtection/>
  <mergeCells count="3">
    <mergeCell ref="D6:G6"/>
    <mergeCell ref="D9:E9"/>
    <mergeCell ref="F9:G9"/>
  </mergeCells>
  <printOptions/>
  <pageMargins left="0.787401575" right="0.787401575" top="0.984251969" bottom="0.984251969" header="0.4921259845" footer="0.4921259845"/>
  <pageSetup horizontalDpi="600" verticalDpi="6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N50"/>
  <sheetViews>
    <sheetView showGridLines="0" zoomScalePageLayoutView="0" workbookViewId="0" topLeftCell="A1">
      <selection activeCell="D17" activeCellId="3" sqref="D12 D13 D15 D17"/>
    </sheetView>
  </sheetViews>
  <sheetFormatPr defaultColWidth="11.421875" defaultRowHeight="12.75"/>
  <cols>
    <col min="3" max="3" width="18.140625" style="0" customWidth="1"/>
    <col min="4" max="4" width="16.00390625" style="0" customWidth="1"/>
    <col min="5" max="5" width="15.421875" style="0" customWidth="1"/>
    <col min="6" max="6" width="19.421875" style="0" customWidth="1"/>
  </cols>
  <sheetData>
    <row r="4" spans="8:9" ht="12.75">
      <c r="H4" s="15"/>
      <c r="I4" s="15"/>
    </row>
    <row r="5" spans="3:6" ht="33.75">
      <c r="C5" s="68" t="s">
        <v>45</v>
      </c>
      <c r="D5" s="68"/>
      <c r="E5" s="68"/>
      <c r="F5" s="68"/>
    </row>
    <row r="8" spans="3:6" ht="12.75">
      <c r="C8" s="11" t="s">
        <v>15</v>
      </c>
      <c r="D8" s="11" t="s">
        <v>16</v>
      </c>
      <c r="E8" s="12" t="s">
        <v>17</v>
      </c>
      <c r="F8" s="11" t="s">
        <v>16</v>
      </c>
    </row>
    <row r="9" spans="4:14" ht="12.75">
      <c r="D9" s="3"/>
      <c r="E9" s="13"/>
      <c r="F9" s="51">
        <f>Feuil1!J19</f>
        <v>65904</v>
      </c>
      <c r="H9" t="s">
        <v>58</v>
      </c>
      <c r="I9">
        <v>0.68</v>
      </c>
      <c r="L9" s="47" t="s">
        <v>59</v>
      </c>
      <c r="M9" s="47" t="s">
        <v>4</v>
      </c>
      <c r="N9" s="47" t="s">
        <v>62</v>
      </c>
    </row>
    <row r="10" spans="3:14" ht="12.75">
      <c r="C10" t="s">
        <v>49</v>
      </c>
      <c r="D10" s="16">
        <f>F9*0.32</f>
        <v>21089.28</v>
      </c>
      <c r="E10" s="1" t="s">
        <v>18</v>
      </c>
      <c r="F10" s="17"/>
      <c r="L10">
        <v>2133</v>
      </c>
      <c r="M10" s="45">
        <v>0.196</v>
      </c>
      <c r="N10">
        <f>12*L10</f>
        <v>25596</v>
      </c>
    </row>
    <row r="11" spans="3:14" ht="12.75">
      <c r="C11" s="15"/>
      <c r="D11" s="18"/>
      <c r="E11" s="1"/>
      <c r="F11" s="17"/>
      <c r="L11">
        <v>917</v>
      </c>
      <c r="M11" s="45">
        <v>0.055</v>
      </c>
      <c r="N11">
        <f>12*L11</f>
        <v>11004</v>
      </c>
    </row>
    <row r="12" spans="3:14" ht="12.75">
      <c r="C12" t="s">
        <v>19</v>
      </c>
      <c r="D12" s="50">
        <v>10990</v>
      </c>
      <c r="E12" s="1"/>
      <c r="F12" s="3"/>
      <c r="L12">
        <v>1708</v>
      </c>
      <c r="M12" s="45">
        <v>0.196</v>
      </c>
      <c r="N12">
        <f>12*L12</f>
        <v>20496</v>
      </c>
    </row>
    <row r="13" spans="3:14" ht="12.75">
      <c r="C13" t="s">
        <v>20</v>
      </c>
      <c r="D13" s="32">
        <v>300</v>
      </c>
      <c r="E13" s="1"/>
      <c r="F13" s="3"/>
      <c r="I13" s="60"/>
      <c r="L13">
        <v>734</v>
      </c>
      <c r="M13" s="45">
        <v>0.055</v>
      </c>
      <c r="N13">
        <f>12*L13</f>
        <v>8808</v>
      </c>
    </row>
    <row r="14" spans="3:9" ht="13.5" thickBot="1">
      <c r="C14" t="s">
        <v>21</v>
      </c>
      <c r="D14" s="32">
        <v>0</v>
      </c>
      <c r="E14" s="1"/>
      <c r="F14" s="3"/>
      <c r="I14" s="60"/>
    </row>
    <row r="15" spans="3:14" ht="13.5" thickBot="1">
      <c r="C15" t="s">
        <v>22</v>
      </c>
      <c r="D15" s="32">
        <v>3500</v>
      </c>
      <c r="E15" s="1"/>
      <c r="F15" s="3"/>
      <c r="I15" s="60"/>
      <c r="L15" s="48" t="s">
        <v>6</v>
      </c>
      <c r="N15" s="52">
        <f>N10+N11+N12+N13</f>
        <v>65904</v>
      </c>
    </row>
    <row r="16" spans="3:9" ht="12.75">
      <c r="C16" t="s">
        <v>22</v>
      </c>
      <c r="D16" s="3"/>
      <c r="E16" s="1"/>
      <c r="F16" s="3"/>
      <c r="I16" s="60"/>
    </row>
    <row r="17" spans="3:9" ht="12.75">
      <c r="C17" t="s">
        <v>23</v>
      </c>
      <c r="D17" s="32">
        <v>832</v>
      </c>
      <c r="E17" s="1"/>
      <c r="F17" s="3"/>
      <c r="I17" s="60"/>
    </row>
    <row r="18" spans="4:9" ht="12.75">
      <c r="D18" s="5"/>
      <c r="E18" s="1"/>
      <c r="F18" s="3"/>
      <c r="I18" s="60"/>
    </row>
    <row r="19" spans="3:6" ht="12.75">
      <c r="C19" t="s">
        <v>24</v>
      </c>
      <c r="D19" s="14">
        <f>SUM(D9:D18)</f>
        <v>36711.28</v>
      </c>
      <c r="E19" s="1" t="s">
        <v>24</v>
      </c>
      <c r="F19" s="5">
        <f>SUM(F9:F18)</f>
        <v>65904</v>
      </c>
    </row>
    <row r="20" spans="3:13" ht="12.75">
      <c r="C20" t="s">
        <v>25</v>
      </c>
      <c r="D20" s="14">
        <f>F19-D19</f>
        <v>29192.72</v>
      </c>
      <c r="E20" s="1" t="s">
        <v>26</v>
      </c>
      <c r="F20" s="14">
        <v>0</v>
      </c>
      <c r="I20" s="60"/>
      <c r="M20" s="46" t="s">
        <v>61</v>
      </c>
    </row>
    <row r="21" spans="3:6" ht="12.75">
      <c r="C21" t="s">
        <v>6</v>
      </c>
      <c r="D21" s="3">
        <f>SUM(D19:D20)</f>
        <v>65904</v>
      </c>
      <c r="E21" s="1" t="s">
        <v>6</v>
      </c>
      <c r="F21" s="3">
        <f>+F19+F20</f>
        <v>65904</v>
      </c>
    </row>
    <row r="22" spans="4:14" ht="12.75">
      <c r="D22" s="3"/>
      <c r="E22" s="1"/>
      <c r="F22" s="3"/>
      <c r="L22" s="46" t="s">
        <v>63</v>
      </c>
      <c r="N22">
        <v>600</v>
      </c>
    </row>
    <row r="23" spans="4:14" ht="12.75">
      <c r="D23" s="3"/>
      <c r="E23" s="1"/>
      <c r="F23" s="3"/>
      <c r="L23" s="46" t="s">
        <v>71</v>
      </c>
      <c r="N23">
        <v>2000</v>
      </c>
    </row>
    <row r="24" spans="4:14" ht="12.75">
      <c r="D24" s="3"/>
      <c r="E24" s="1"/>
      <c r="F24" s="3"/>
      <c r="L24" s="46" t="s">
        <v>64</v>
      </c>
      <c r="N24">
        <v>1000</v>
      </c>
    </row>
    <row r="25" spans="12:14" ht="12.75">
      <c r="L25" s="46" t="s">
        <v>65</v>
      </c>
      <c r="N25">
        <v>1500</v>
      </c>
    </row>
    <row r="26" spans="12:14" ht="12.75">
      <c r="L26" s="46" t="s">
        <v>66</v>
      </c>
      <c r="N26">
        <v>2400</v>
      </c>
    </row>
    <row r="27" spans="12:14" ht="12.75">
      <c r="L27" s="46" t="s">
        <v>74</v>
      </c>
      <c r="N27">
        <v>1000</v>
      </c>
    </row>
    <row r="28" spans="2:14" ht="18">
      <c r="B28" s="69"/>
      <c r="C28" s="35"/>
      <c r="D28" s="36"/>
      <c r="E28" s="35"/>
      <c r="L28" s="46" t="s">
        <v>68</v>
      </c>
      <c r="N28">
        <v>1500</v>
      </c>
    </row>
    <row r="29" spans="2:14" ht="18">
      <c r="B29" s="69"/>
      <c r="C29" s="35" t="s">
        <v>50</v>
      </c>
      <c r="D29" s="36" t="s">
        <v>51</v>
      </c>
      <c r="E29" s="38">
        <v>15000</v>
      </c>
      <c r="F29" t="s">
        <v>52</v>
      </c>
      <c r="L29" s="46" t="s">
        <v>69</v>
      </c>
      <c r="N29">
        <v>300</v>
      </c>
    </row>
    <row r="30" spans="2:14" ht="18">
      <c r="B30" s="2"/>
      <c r="C30" s="35"/>
      <c r="D30" s="36"/>
      <c r="E30" s="35"/>
      <c r="F30" t="s">
        <v>86</v>
      </c>
      <c r="L30" s="46" t="s">
        <v>67</v>
      </c>
      <c r="N30">
        <v>500</v>
      </c>
    </row>
    <row r="31" spans="2:14" ht="30">
      <c r="B31" s="37"/>
      <c r="C31" s="35"/>
      <c r="D31" s="36"/>
      <c r="E31" s="35"/>
      <c r="F31" s="70" t="s">
        <v>53</v>
      </c>
      <c r="G31" s="70"/>
      <c r="H31" s="70"/>
      <c r="L31" s="46" t="s">
        <v>70</v>
      </c>
      <c r="N31">
        <v>100</v>
      </c>
    </row>
    <row r="32" spans="2:5" ht="18">
      <c r="B32" s="2"/>
      <c r="C32" s="35"/>
      <c r="D32" s="36"/>
      <c r="E32" s="35"/>
    </row>
    <row r="33" spans="2:14" ht="12.75">
      <c r="B33" s="2"/>
      <c r="C33" s="2"/>
      <c r="D33" s="2"/>
      <c r="E33" s="2"/>
      <c r="L33" s="46" t="s">
        <v>72</v>
      </c>
      <c r="N33">
        <f>N22+N23+N24+N25+N26+N27+N28+N29+N30+N31</f>
        <v>10900</v>
      </c>
    </row>
    <row r="34" spans="2:14" ht="12.75">
      <c r="B34" s="2"/>
      <c r="C34" s="2"/>
      <c r="D34" s="2"/>
      <c r="E34" s="2"/>
      <c r="L34" s="46" t="s">
        <v>73</v>
      </c>
      <c r="N34">
        <v>90</v>
      </c>
    </row>
    <row r="35" spans="2:14" ht="12.75">
      <c r="B35" s="2"/>
      <c r="C35" s="2"/>
      <c r="D35" s="2"/>
      <c r="E35" s="2"/>
      <c r="F35" s="2"/>
      <c r="I35" s="20"/>
      <c r="N35" s="49">
        <f>N33+N34</f>
        <v>10990</v>
      </c>
    </row>
    <row r="36" spans="2:6" ht="12.75">
      <c r="B36" s="2"/>
      <c r="C36" s="2"/>
      <c r="D36" s="2"/>
      <c r="E36" s="2"/>
      <c r="F36" s="2"/>
    </row>
    <row r="37" spans="2:6" ht="15.75">
      <c r="B37" s="65"/>
      <c r="C37" s="65"/>
      <c r="D37" s="66"/>
      <c r="E37" s="66"/>
      <c r="F37" s="66"/>
    </row>
    <row r="38" spans="2:6" ht="15.75">
      <c r="B38" s="65"/>
      <c r="C38" s="65"/>
      <c r="D38" s="66"/>
      <c r="E38" s="66"/>
      <c r="F38" s="66"/>
    </row>
    <row r="39" spans="2:6" ht="12.75">
      <c r="B39" s="2"/>
      <c r="C39" s="2"/>
      <c r="D39" s="2"/>
      <c r="E39" s="2"/>
      <c r="F39" s="2"/>
    </row>
    <row r="40" spans="2:6" ht="12.75">
      <c r="B40" s="2"/>
      <c r="C40" s="2"/>
      <c r="D40" s="2"/>
      <c r="E40" s="2"/>
      <c r="F40" s="2"/>
    </row>
    <row r="41" spans="2:6" ht="15.75">
      <c r="B41" s="64"/>
      <c r="C41" s="65"/>
      <c r="D41" s="66"/>
      <c r="E41" s="67"/>
      <c r="F41" s="66"/>
    </row>
    <row r="42" spans="2:6" ht="15.75">
      <c r="B42" s="65"/>
      <c r="C42" s="65"/>
      <c r="D42" s="66"/>
      <c r="E42" s="66"/>
      <c r="F42" s="66"/>
    </row>
    <row r="43" spans="2:6" ht="12.75">
      <c r="B43" s="2"/>
      <c r="C43" s="2"/>
      <c r="D43" s="2"/>
      <c r="E43" s="2"/>
      <c r="F43" s="2"/>
    </row>
    <row r="44" spans="2:6" ht="12.75">
      <c r="B44" s="2"/>
      <c r="C44" s="2"/>
      <c r="D44" s="2"/>
      <c r="E44" s="2"/>
      <c r="F44" s="2"/>
    </row>
    <row r="45" spans="2:6" ht="12.75">
      <c r="B45" s="2"/>
      <c r="C45" s="2"/>
      <c r="D45" s="2"/>
      <c r="E45" s="2"/>
      <c r="F45" s="2"/>
    </row>
    <row r="46" spans="2:6" ht="12.75">
      <c r="B46" s="2"/>
      <c r="C46" s="2"/>
      <c r="D46" s="2"/>
      <c r="E46" s="2"/>
      <c r="F46" s="2"/>
    </row>
    <row r="47" spans="2:6" ht="12.75">
      <c r="B47" s="2"/>
      <c r="C47" s="2"/>
      <c r="D47" s="2"/>
      <c r="E47" s="2"/>
      <c r="F47" s="2"/>
    </row>
    <row r="48" spans="2:6" ht="12.75">
      <c r="B48" s="2"/>
      <c r="C48" s="2"/>
      <c r="D48" s="2"/>
      <c r="E48" s="2"/>
      <c r="F48" s="2"/>
    </row>
    <row r="49" spans="2:6" ht="12.75">
      <c r="B49" s="2"/>
      <c r="C49" s="2"/>
      <c r="D49" s="2"/>
      <c r="E49" s="2"/>
      <c r="F49" s="2"/>
    </row>
    <row r="50" spans="2:6" ht="12.75">
      <c r="B50" s="2"/>
      <c r="C50" s="2"/>
      <c r="D50" s="2"/>
      <c r="E50" s="2"/>
      <c r="F50" s="2"/>
    </row>
  </sheetData>
  <sheetProtection/>
  <mergeCells count="11">
    <mergeCell ref="F31:H31"/>
    <mergeCell ref="B41:C41"/>
    <mergeCell ref="D41:D42"/>
    <mergeCell ref="E41:F42"/>
    <mergeCell ref="B42:C42"/>
    <mergeCell ref="C5:F5"/>
    <mergeCell ref="B28:B29"/>
    <mergeCell ref="B37:C37"/>
    <mergeCell ref="D37:D38"/>
    <mergeCell ref="E37:F38"/>
    <mergeCell ref="B38:C38"/>
  </mergeCells>
  <printOptions/>
  <pageMargins left="0.787401575" right="0.787401575" top="0.984251969" bottom="0.984251969" header="0.4921259845" footer="0.4921259845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K23"/>
  <sheetViews>
    <sheetView showGridLines="0" zoomScalePageLayoutView="0" workbookViewId="0" topLeftCell="A4">
      <selection activeCell="L18" sqref="L18"/>
    </sheetView>
  </sheetViews>
  <sheetFormatPr defaultColWidth="11.421875" defaultRowHeight="12.75"/>
  <cols>
    <col min="4" max="4" width="30.8515625" style="0" customWidth="1"/>
    <col min="5" max="5" width="28.57421875" style="0" customWidth="1"/>
    <col min="6" max="6" width="16.57421875" style="0" customWidth="1"/>
    <col min="7" max="7" width="29.140625" style="0" customWidth="1"/>
    <col min="8" max="8" width="12.28125" style="0" bestFit="1" customWidth="1"/>
    <col min="9" max="9" width="19.7109375" style="0" customWidth="1"/>
  </cols>
  <sheetData>
    <row r="2" spans="4:8" ht="39.75" customHeight="1">
      <c r="D2" s="73" t="s">
        <v>44</v>
      </c>
      <c r="E2" s="73"/>
      <c r="F2" s="73"/>
      <c r="G2" s="73"/>
      <c r="H2" s="73"/>
    </row>
    <row r="5" ht="13.5" thickBot="1"/>
    <row r="6" spans="5:9" ht="13.5" thickBot="1">
      <c r="E6" s="21" t="s">
        <v>46</v>
      </c>
      <c r="F6" s="22" t="s">
        <v>16</v>
      </c>
      <c r="G6" s="21" t="s">
        <v>47</v>
      </c>
      <c r="H6" s="22" t="s">
        <v>16</v>
      </c>
      <c r="I6" s="30" t="s">
        <v>43</v>
      </c>
    </row>
    <row r="7" spans="3:11" ht="21" thickBot="1">
      <c r="C7" s="71" t="s">
        <v>28</v>
      </c>
      <c r="D7" s="72"/>
      <c r="E7" s="55">
        <v>65904</v>
      </c>
      <c r="F7" s="27">
        <v>1</v>
      </c>
      <c r="G7" s="55">
        <v>26298</v>
      </c>
      <c r="H7" s="27">
        <v>1</v>
      </c>
      <c r="I7" s="29">
        <f>(G7-E7)/E7</f>
        <v>-0.6009650400582666</v>
      </c>
      <c r="J7" s="23"/>
      <c r="K7" s="10"/>
    </row>
    <row r="8" spans="4:11" ht="21" thickBot="1">
      <c r="D8" s="19" t="s">
        <v>29</v>
      </c>
      <c r="E8" s="56">
        <v>21089</v>
      </c>
      <c r="F8" s="25">
        <f>E8/$E$7</f>
        <v>0.3199957513959699</v>
      </c>
      <c r="G8" s="56">
        <v>12172</v>
      </c>
      <c r="H8" s="25">
        <f>G8/$G$7</f>
        <v>0.4628488858468325</v>
      </c>
      <c r="I8" s="29">
        <f aca="true" t="shared" si="0" ref="I8:I23">(G8-E8)/E8</f>
        <v>-0.4228270662430651</v>
      </c>
      <c r="J8" s="23"/>
      <c r="K8" s="10"/>
    </row>
    <row r="9" spans="3:11" ht="21" thickBot="1">
      <c r="C9" s="71" t="s">
        <v>30</v>
      </c>
      <c r="D9" s="72"/>
      <c r="E9" s="55">
        <f>E7-E8</f>
        <v>44815</v>
      </c>
      <c r="F9" s="28">
        <f aca="true" t="shared" si="1" ref="F9:F23">E9/$E$7</f>
        <v>0.6800042486040301</v>
      </c>
      <c r="G9" s="55">
        <f>G7-G8</f>
        <v>14126</v>
      </c>
      <c r="H9" s="27">
        <f aca="true" t="shared" si="2" ref="H9:H23">G9/$G$7</f>
        <v>0.5371511141531675</v>
      </c>
      <c r="I9" s="29">
        <f t="shared" si="0"/>
        <v>-0.6847930380452973</v>
      </c>
      <c r="J9" s="23"/>
      <c r="K9" s="10"/>
    </row>
    <row r="10" spans="4:11" ht="21" thickBot="1">
      <c r="D10" s="19" t="s">
        <v>31</v>
      </c>
      <c r="E10" s="56">
        <v>10990</v>
      </c>
      <c r="F10" s="25">
        <f t="shared" si="1"/>
        <v>0.16675770818159746</v>
      </c>
      <c r="G10" s="56">
        <v>9108</v>
      </c>
      <c r="H10" s="25">
        <f t="shared" si="2"/>
        <v>0.3463381245722108</v>
      </c>
      <c r="I10" s="29">
        <f t="shared" si="0"/>
        <v>-0.17124658780709737</v>
      </c>
      <c r="J10" s="23"/>
      <c r="K10" s="10"/>
    </row>
    <row r="11" spans="3:11" ht="21" thickBot="1">
      <c r="C11" s="71" t="s">
        <v>32</v>
      </c>
      <c r="D11" s="72"/>
      <c r="E11" s="55">
        <f>E9-E10</f>
        <v>33825</v>
      </c>
      <c r="F11" s="27">
        <f t="shared" si="1"/>
        <v>0.5132465404224327</v>
      </c>
      <c r="G11" s="55">
        <f>G9-G10</f>
        <v>5018</v>
      </c>
      <c r="H11" s="27">
        <f t="shared" si="2"/>
        <v>0.19081298958095672</v>
      </c>
      <c r="I11" s="29">
        <f t="shared" si="0"/>
        <v>-0.8516481892091649</v>
      </c>
      <c r="J11" s="23"/>
      <c r="K11" s="10"/>
    </row>
    <row r="12" spans="4:11" ht="21" thickBot="1">
      <c r="D12" s="19" t="s">
        <v>33</v>
      </c>
      <c r="E12" s="57">
        <v>300</v>
      </c>
      <c r="F12" s="26">
        <f t="shared" si="1"/>
        <v>0.004552075746540422</v>
      </c>
      <c r="G12" s="57">
        <v>520</v>
      </c>
      <c r="H12" s="26">
        <f t="shared" si="2"/>
        <v>0.019773366795954064</v>
      </c>
      <c r="I12" s="29">
        <f t="shared" si="0"/>
        <v>0.7333333333333333</v>
      </c>
      <c r="J12" s="23"/>
      <c r="K12" s="10"/>
    </row>
    <row r="13" spans="4:11" ht="21" thickBot="1">
      <c r="D13" s="19" t="s">
        <v>34</v>
      </c>
      <c r="E13" s="58"/>
      <c r="F13" s="24">
        <f t="shared" si="1"/>
        <v>0</v>
      </c>
      <c r="G13" s="58">
        <v>356</v>
      </c>
      <c r="H13" s="24">
        <f t="shared" si="2"/>
        <v>0.013537151114153167</v>
      </c>
      <c r="I13" s="29"/>
      <c r="J13" s="23"/>
      <c r="K13" s="10"/>
    </row>
    <row r="14" spans="4:11" ht="21" thickBot="1">
      <c r="D14" s="19" t="s">
        <v>48</v>
      </c>
      <c r="E14" s="56"/>
      <c r="F14" s="25"/>
      <c r="G14" s="56">
        <v>3000</v>
      </c>
      <c r="H14" s="25">
        <f t="shared" si="2"/>
        <v>0.11407711613050422</v>
      </c>
      <c r="I14" s="29"/>
      <c r="J14" s="23"/>
      <c r="K14" s="10"/>
    </row>
    <row r="15" spans="3:11" ht="21" thickBot="1">
      <c r="C15" s="71" t="s">
        <v>35</v>
      </c>
      <c r="D15" s="72"/>
      <c r="E15" s="55">
        <f>E11-E12</f>
        <v>33525</v>
      </c>
      <c r="F15" s="27">
        <f t="shared" si="1"/>
        <v>0.5086944646758922</v>
      </c>
      <c r="G15" s="55">
        <f>G11-G12-G13+G14</f>
        <v>7142</v>
      </c>
      <c r="H15" s="27">
        <f t="shared" si="2"/>
        <v>0.2715795878013537</v>
      </c>
      <c r="I15" s="29">
        <f t="shared" si="0"/>
        <v>-0.7869649515287099</v>
      </c>
      <c r="J15" s="23"/>
      <c r="K15" s="10"/>
    </row>
    <row r="16" spans="4:11" ht="21" thickBot="1">
      <c r="D16" s="19" t="s">
        <v>36</v>
      </c>
      <c r="E16" s="56">
        <v>3500</v>
      </c>
      <c r="F16" s="25">
        <f t="shared" si="1"/>
        <v>0.05310755037630493</v>
      </c>
      <c r="G16" s="56">
        <v>2590</v>
      </c>
      <c r="H16" s="25">
        <f t="shared" si="2"/>
        <v>0.09848657692600198</v>
      </c>
      <c r="I16" s="29">
        <f t="shared" si="0"/>
        <v>-0.26</v>
      </c>
      <c r="J16" s="23"/>
      <c r="K16" s="10"/>
    </row>
    <row r="17" spans="3:11" ht="21" thickBot="1">
      <c r="C17" s="71" t="s">
        <v>37</v>
      </c>
      <c r="D17" s="72"/>
      <c r="E17" s="55">
        <f>E15-E16</f>
        <v>30025</v>
      </c>
      <c r="F17" s="27">
        <f t="shared" si="1"/>
        <v>0.45558691429958725</v>
      </c>
      <c r="G17" s="55">
        <f>G15-G16</f>
        <v>4552</v>
      </c>
      <c r="H17" s="27">
        <f t="shared" si="2"/>
        <v>0.17309301087535173</v>
      </c>
      <c r="I17" s="29">
        <f t="shared" si="0"/>
        <v>-0.8483930058284763</v>
      </c>
      <c r="J17" s="23"/>
      <c r="K17" s="10"/>
    </row>
    <row r="18" spans="4:11" ht="21" thickBot="1">
      <c r="D18" s="19" t="s">
        <v>38</v>
      </c>
      <c r="E18" s="57">
        <v>832</v>
      </c>
      <c r="F18" s="26">
        <f t="shared" si="1"/>
        <v>0.01262442340373877</v>
      </c>
      <c r="G18" s="57">
        <v>840</v>
      </c>
      <c r="H18" s="26">
        <f t="shared" si="2"/>
        <v>0.03194159251654118</v>
      </c>
      <c r="I18" s="29">
        <f t="shared" si="0"/>
        <v>0.009615384615384616</v>
      </c>
      <c r="J18" s="23"/>
      <c r="K18" s="10"/>
    </row>
    <row r="19" spans="4:11" ht="21" thickBot="1">
      <c r="D19" s="19" t="s">
        <v>39</v>
      </c>
      <c r="E19" s="58"/>
      <c r="F19" s="24"/>
      <c r="G19" s="58"/>
      <c r="H19" s="24"/>
      <c r="I19" s="29"/>
      <c r="J19" s="23"/>
      <c r="K19" s="10"/>
    </row>
    <row r="20" spans="3:11" ht="21" thickBot="1">
      <c r="C20" s="71" t="s">
        <v>40</v>
      </c>
      <c r="D20" s="72"/>
      <c r="E20" s="55">
        <f>E17-E18</f>
        <v>29193</v>
      </c>
      <c r="F20" s="27">
        <f t="shared" si="1"/>
        <v>0.4429624908958485</v>
      </c>
      <c r="G20" s="55">
        <f>G17-G18</f>
        <v>3712</v>
      </c>
      <c r="H20" s="27">
        <f t="shared" si="2"/>
        <v>0.14115141835881057</v>
      </c>
      <c r="I20" s="29">
        <f t="shared" si="0"/>
        <v>-0.872846230260679</v>
      </c>
      <c r="J20" s="23"/>
      <c r="K20" s="10"/>
    </row>
    <row r="21" spans="4:11" ht="21" thickBot="1">
      <c r="D21" s="19" t="s">
        <v>41</v>
      </c>
      <c r="E21" s="57"/>
      <c r="F21" s="26"/>
      <c r="G21" s="57"/>
      <c r="H21" s="26"/>
      <c r="I21" s="29"/>
      <c r="J21" s="23"/>
      <c r="K21" s="10"/>
    </row>
    <row r="22" spans="4:11" ht="21" thickBot="1">
      <c r="D22" s="19" t="s">
        <v>42</v>
      </c>
      <c r="E22" s="58"/>
      <c r="F22" s="24"/>
      <c r="G22" s="58">
        <v>3713</v>
      </c>
      <c r="H22" s="24"/>
      <c r="I22" s="29"/>
      <c r="J22" s="23"/>
      <c r="K22" s="10"/>
    </row>
    <row r="23" spans="3:11" ht="21" thickBot="1">
      <c r="C23" s="71" t="s">
        <v>27</v>
      </c>
      <c r="D23" s="72"/>
      <c r="E23" s="55">
        <f>E20-E21+E22</f>
        <v>29193</v>
      </c>
      <c r="F23" s="27">
        <f t="shared" si="1"/>
        <v>0.4429624908958485</v>
      </c>
      <c r="G23" s="55">
        <f>G20-G21+G22</f>
        <v>7425</v>
      </c>
      <c r="H23" s="27">
        <f t="shared" si="2"/>
        <v>0.28234086242299794</v>
      </c>
      <c r="I23" s="29">
        <f t="shared" si="0"/>
        <v>-0.7456582057342513</v>
      </c>
      <c r="J23" s="23"/>
      <c r="K23" s="10"/>
    </row>
  </sheetData>
  <sheetProtection/>
  <mergeCells count="8">
    <mergeCell ref="C20:D20"/>
    <mergeCell ref="C23:D23"/>
    <mergeCell ref="D2:H2"/>
    <mergeCell ref="C7:D7"/>
    <mergeCell ref="C9:D9"/>
    <mergeCell ref="C11:D11"/>
    <mergeCell ref="C15:D15"/>
    <mergeCell ref="C17:D17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9:I26"/>
  <sheetViews>
    <sheetView showGridLines="0" zoomScalePageLayoutView="0" workbookViewId="0" topLeftCell="A1">
      <selection activeCell="M20" sqref="M20"/>
    </sheetView>
  </sheetViews>
  <sheetFormatPr defaultColWidth="11.421875" defaultRowHeight="12.75"/>
  <cols>
    <col min="4" max="4" width="28.8515625" style="0" customWidth="1"/>
    <col min="5" max="5" width="12.57421875" style="0" bestFit="1" customWidth="1"/>
  </cols>
  <sheetData>
    <row r="8" ht="13.5" thickBot="1"/>
    <row r="9" spans="4:5" ht="13.5" thickBot="1">
      <c r="D9" s="39" t="s">
        <v>56</v>
      </c>
      <c r="E9" s="40">
        <f>(19896+18503)-15337</f>
        <v>23062</v>
      </c>
    </row>
    <row r="10" spans="4:5" ht="12.75">
      <c r="D10" s="6"/>
      <c r="E10" s="3"/>
    </row>
    <row r="11" spans="4:5" ht="13.5" thickBot="1">
      <c r="D11" s="6"/>
      <c r="E11" s="3"/>
    </row>
    <row r="12" spans="4:5" ht="13.5" thickBot="1">
      <c r="D12" s="39" t="s">
        <v>55</v>
      </c>
      <c r="E12" s="40">
        <f>(31417-16747)-8355</f>
        <v>6315</v>
      </c>
    </row>
    <row r="13" spans="4:5" ht="12.75">
      <c r="D13" s="6"/>
      <c r="E13" s="3"/>
    </row>
    <row r="14" spans="4:5" ht="13.5" thickBot="1">
      <c r="D14" s="6"/>
      <c r="E14" s="3"/>
    </row>
    <row r="15" spans="4:5" ht="13.5" thickBot="1">
      <c r="D15" s="39" t="s">
        <v>10</v>
      </c>
      <c r="E15" s="40">
        <f>E9-E12</f>
        <v>16747</v>
      </c>
    </row>
    <row r="16" ht="12.75">
      <c r="D16" s="6"/>
    </row>
    <row r="17" ht="13.5" thickBot="1">
      <c r="D17" s="6"/>
    </row>
    <row r="18" spans="4:9" ht="13.5" thickBot="1">
      <c r="D18" s="39" t="s">
        <v>54</v>
      </c>
      <c r="E18" s="41">
        <f>19896/46754</f>
        <v>0.4255464773067545</v>
      </c>
      <c r="F18" s="42">
        <f>E18</f>
        <v>0.4255464773067545</v>
      </c>
      <c r="I18" t="s">
        <v>57</v>
      </c>
    </row>
    <row r="19" ht="12.75">
      <c r="D19" s="6"/>
    </row>
    <row r="20" spans="4:5" ht="13.5" thickBot="1">
      <c r="D20" s="6"/>
      <c r="E20" s="3"/>
    </row>
    <row r="21" spans="4:5" ht="13.5" thickBot="1">
      <c r="D21" s="39" t="s">
        <v>12</v>
      </c>
      <c r="E21" s="43">
        <f>2157/((8275*1.055)+(18023*1.196))*360</f>
        <v>25.639880137225468</v>
      </c>
    </row>
    <row r="22" spans="4:5" ht="12.75">
      <c r="D22" s="6"/>
      <c r="E22" s="3"/>
    </row>
    <row r="23" spans="4:5" ht="13.5" thickBot="1">
      <c r="D23" s="6"/>
      <c r="E23" s="3"/>
    </row>
    <row r="24" spans="4:5" ht="13.5" thickBot="1">
      <c r="D24" s="39" t="s">
        <v>11</v>
      </c>
      <c r="E24" s="44">
        <f>8355/((15796-3624+9108)*1.196)*360</f>
        <v>118.18058943344985</v>
      </c>
    </row>
    <row r="25" spans="4:5" ht="12.75">
      <c r="D25" s="6"/>
      <c r="E25" s="3"/>
    </row>
    <row r="26" ht="12.75">
      <c r="E26" s="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5:L32"/>
  <sheetViews>
    <sheetView showGridLines="0" tabSelected="1" zoomScalePageLayoutView="0" workbookViewId="0" topLeftCell="A1">
      <selection activeCell="P20" sqref="P20"/>
    </sheetView>
  </sheetViews>
  <sheetFormatPr defaultColWidth="11.421875" defaultRowHeight="12.75"/>
  <cols>
    <col min="3" max="3" width="15.28125" style="0" customWidth="1"/>
  </cols>
  <sheetData>
    <row r="5" spans="3:10" ht="12.75">
      <c r="C5" s="46" t="s">
        <v>75</v>
      </c>
      <c r="D5" s="3">
        <v>9108</v>
      </c>
      <c r="H5" s="46" t="s">
        <v>75</v>
      </c>
      <c r="J5" s="3">
        <f>'compte de résultat prévisionnel'!D12</f>
        <v>10990</v>
      </c>
    </row>
    <row r="6" spans="4:10" ht="12.75">
      <c r="D6" s="3">
        <v>520</v>
      </c>
      <c r="J6" s="3">
        <f>'compte de résultat prévisionnel'!D13</f>
        <v>300</v>
      </c>
    </row>
    <row r="7" spans="4:10" ht="12.75">
      <c r="D7" s="3">
        <v>356</v>
      </c>
      <c r="J7" s="3">
        <f>'compte de résultat prévisionnel'!D15</f>
        <v>3500</v>
      </c>
    </row>
    <row r="8" spans="4:10" ht="12.75">
      <c r="D8" s="3">
        <v>2590</v>
      </c>
      <c r="J8" s="3">
        <f>'compte de résultat prévisionnel'!D17</f>
        <v>832</v>
      </c>
    </row>
    <row r="9" spans="4:10" ht="12.75">
      <c r="D9" s="5">
        <v>840</v>
      </c>
      <c r="J9" s="3">
        <f>SUM(J5:J8)</f>
        <v>15622</v>
      </c>
    </row>
    <row r="10" ht="12.75">
      <c r="D10" s="3">
        <f>SUM(D5:D9)</f>
        <v>13414</v>
      </c>
    </row>
    <row r="11" spans="4:12" ht="12.75">
      <c r="D11" s="3"/>
      <c r="I11" s="46" t="s">
        <v>76</v>
      </c>
      <c r="J11" s="3">
        <v>1250</v>
      </c>
      <c r="K11">
        <v>12</v>
      </c>
      <c r="L11" s="3">
        <f>J11*K11</f>
        <v>15000</v>
      </c>
    </row>
    <row r="12" spans="3:10" ht="12.75">
      <c r="C12" s="46" t="s">
        <v>76</v>
      </c>
      <c r="D12" s="3">
        <v>1250</v>
      </c>
      <c r="E12">
        <v>12</v>
      </c>
      <c r="F12" s="3">
        <f>D12*E12</f>
        <v>15000</v>
      </c>
      <c r="I12" s="46" t="s">
        <v>77</v>
      </c>
      <c r="J12" s="3">
        <v>3638</v>
      </c>
    </row>
    <row r="13" spans="3:4" ht="12.75">
      <c r="C13" s="46" t="s">
        <v>77</v>
      </c>
      <c r="D13" s="3">
        <v>3638</v>
      </c>
    </row>
    <row r="14" ht="12.75">
      <c r="D14" s="3"/>
    </row>
    <row r="15" ht="12.75">
      <c r="D15" s="3"/>
    </row>
    <row r="16" spans="3:10" ht="12.75">
      <c r="C16" s="46" t="s">
        <v>78</v>
      </c>
      <c r="D16" s="3">
        <f>D13+F12</f>
        <v>18638</v>
      </c>
      <c r="I16" s="46" t="s">
        <v>78</v>
      </c>
      <c r="J16" s="3">
        <f>J12+L11</f>
        <v>18638</v>
      </c>
    </row>
    <row r="17" ht="12.75">
      <c r="D17" s="3"/>
    </row>
    <row r="19" spans="8:11" ht="12.75">
      <c r="H19" s="53" t="s">
        <v>79</v>
      </c>
      <c r="I19" s="74" t="s">
        <v>60</v>
      </c>
      <c r="J19" s="76" t="s">
        <v>87</v>
      </c>
      <c r="K19" s="76"/>
    </row>
    <row r="20" spans="3:11" ht="12.75">
      <c r="C20" s="53" t="s">
        <v>79</v>
      </c>
      <c r="D20" s="74" t="s">
        <v>60</v>
      </c>
      <c r="E20" s="76" t="s">
        <v>82</v>
      </c>
      <c r="F20" s="76"/>
      <c r="H20" s="47" t="s">
        <v>58</v>
      </c>
      <c r="I20" s="75"/>
      <c r="J20" s="77">
        <v>0.68</v>
      </c>
      <c r="K20" s="77"/>
    </row>
    <row r="21" spans="3:6" ht="12.75">
      <c r="C21" s="47" t="s">
        <v>58</v>
      </c>
      <c r="D21" s="75"/>
      <c r="E21" s="77">
        <v>0.5372</v>
      </c>
      <c r="F21" s="77"/>
    </row>
    <row r="24" spans="3:9" ht="12.75">
      <c r="C24" s="6" t="s">
        <v>80</v>
      </c>
      <c r="D24" s="7">
        <f>(D10+D16)/E21</f>
        <v>59664.92926284438</v>
      </c>
      <c r="H24" s="6" t="s">
        <v>80</v>
      </c>
      <c r="I24" s="7">
        <f>(J9+J16)/0.68</f>
        <v>50382.35294117647</v>
      </c>
    </row>
    <row r="30" spans="2:3" ht="12.75">
      <c r="B30" s="46" t="s">
        <v>83</v>
      </c>
      <c r="C30" s="3">
        <f>SIG!$G$7</f>
        <v>26298</v>
      </c>
    </row>
    <row r="31" spans="2:3" ht="12.75">
      <c r="B31" s="46" t="s">
        <v>84</v>
      </c>
      <c r="C31" s="3">
        <f>D24</f>
        <v>59664.92926284438</v>
      </c>
    </row>
    <row r="32" spans="2:3" ht="12.75">
      <c r="B32" s="46" t="s">
        <v>85</v>
      </c>
      <c r="C32" s="10">
        <f>(C31-C30)/C31</f>
        <v>0.5592385623362037</v>
      </c>
    </row>
  </sheetData>
  <sheetProtection/>
  <mergeCells count="6">
    <mergeCell ref="D20:D21"/>
    <mergeCell ref="E20:F20"/>
    <mergeCell ref="E21:F21"/>
    <mergeCell ref="I19:I20"/>
    <mergeCell ref="J19:K19"/>
    <mergeCell ref="J20:K20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H11:J19"/>
  <sheetViews>
    <sheetView zoomScalePageLayoutView="0" workbookViewId="0" topLeftCell="A1">
      <selection activeCell="L21" sqref="L21"/>
    </sheetView>
  </sheetViews>
  <sheetFormatPr defaultColWidth="11.421875" defaultRowHeight="12.75"/>
  <sheetData>
    <row r="11" spans="8:10" ht="12.75">
      <c r="H11">
        <v>2133</v>
      </c>
      <c r="I11">
        <v>0</v>
      </c>
      <c r="J11">
        <f>H11</f>
        <v>2133</v>
      </c>
    </row>
    <row r="12" spans="8:10" ht="12.75">
      <c r="H12">
        <v>917</v>
      </c>
      <c r="I12">
        <v>0</v>
      </c>
      <c r="J12">
        <f>H12</f>
        <v>917</v>
      </c>
    </row>
    <row r="13" spans="8:10" ht="12.75">
      <c r="H13">
        <v>1708</v>
      </c>
      <c r="I13">
        <v>0</v>
      </c>
      <c r="J13">
        <f>H13</f>
        <v>1708</v>
      </c>
    </row>
    <row r="14" spans="8:10" ht="12.75">
      <c r="H14">
        <v>734</v>
      </c>
      <c r="I14">
        <v>0</v>
      </c>
      <c r="J14">
        <f>H14</f>
        <v>734</v>
      </c>
    </row>
    <row r="16" ht="12.75">
      <c r="J16">
        <f>SUM(J11:J15)</f>
        <v>5492</v>
      </c>
    </row>
    <row r="17" ht="12.75">
      <c r="J17">
        <v>12</v>
      </c>
    </row>
    <row r="19" ht="12.75">
      <c r="J19">
        <f>J16*J17</f>
        <v>65904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Formedialine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HUGUES</dc:creator>
  <cp:keywords/>
  <dc:description/>
  <cp:lastModifiedBy>hugues</cp:lastModifiedBy>
  <cp:lastPrinted>2008-11-07T12:04:24Z</cp:lastPrinted>
  <dcterms:created xsi:type="dcterms:W3CDTF">2008-03-19T11:31:33Z</dcterms:created>
  <dcterms:modified xsi:type="dcterms:W3CDTF">2011-06-09T12:40:05Z</dcterms:modified>
  <cp:category/>
  <cp:version/>
  <cp:contentType/>
  <cp:contentStatus/>
</cp:coreProperties>
</file>